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GoogleDrive/My Drive/2018-19/referendum/"/>
    </mc:Choice>
  </mc:AlternateContent>
  <xr:revisionPtr revIDLastSave="0" documentId="13_ncr:1_{E4067C8A-2D5E-2542-A30C-0B91CCB34FA0}" xr6:coauthVersionLast="37" xr6:coauthVersionMax="37" xr10:uidLastSave="{00000000-0000-0000-0000-000000000000}"/>
  <bookViews>
    <workbookView xWindow="-52820" yWindow="-1960" windowWidth="41480" windowHeight="22220" xr2:uid="{00000000-000D-0000-FFFF-FFFF00000000}"/>
  </bookViews>
  <sheets>
    <sheet name="Summary Impact " sheetId="1" r:id="rId1"/>
  </sheets>
  <externalReferences>
    <externalReference r:id="rId2"/>
    <externalReference r:id="rId3"/>
    <externalReference r:id="rId4"/>
  </externalReferences>
  <definedNames>
    <definedName name="A_Start">[1]A!$D$2</definedName>
    <definedName name="AA_Start">[1]AA!$D$2</definedName>
    <definedName name="AAA_Start">[1]AAA!$D$2</definedName>
    <definedName name="BAA_Start">[1]BAA!$D$2</definedName>
    <definedName name="calldat">[2]Sheet1!$F$6</definedName>
    <definedName name="calldate" localSheetId="0">#REF!</definedName>
    <definedName name="calldate">#REF!</definedName>
    <definedName name="callprice" localSheetId="0">[2]Sheet1!#REF!</definedName>
    <definedName name="callprice">[2]Sheet1!#REF!</definedName>
    <definedName name="deldate" localSheetId="0">#REF!</definedName>
    <definedName name="deldate">#REF!</definedName>
    <definedName name="doink" localSheetId="0">#REF!</definedName>
    <definedName name="doink">#REF!</definedName>
    <definedName name="finalmat" localSheetId="0">#REF!</definedName>
    <definedName name="finalmat">#REF!</definedName>
    <definedName name="firstmat" localSheetId="0">#REF!</definedName>
    <definedName name="firstmat">#REF!</definedName>
    <definedName name="INFL">[3]TAXREV!$N$122</definedName>
    <definedName name="Ins_Start">[1]Ins!$D$2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40882.5464814815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NEWCON">[3]TAXREV!$N$121</definedName>
    <definedName name="OSTable1" localSheetId="0">#REF!</definedName>
    <definedName name="OSTable1">#REF!</definedName>
    <definedName name="_xlnm.Print_Area" localSheetId="0">'Summary Impact '!$A$1:$I$55</definedName>
    <definedName name="Print_Area_MI">[3]TAXREV!$A$1:$V$36</definedName>
    <definedName name="Result" localSheetId="0">#REF!</definedName>
    <definedName name="Result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C66" i="1"/>
  <c r="F65" i="1"/>
  <c r="C65" i="1"/>
  <c r="F64" i="1"/>
  <c r="C64" i="1"/>
  <c r="F63" i="1"/>
  <c r="C63" i="1"/>
  <c r="F62" i="1"/>
  <c r="C62" i="1"/>
  <c r="F61" i="1"/>
  <c r="C61" i="1"/>
  <c r="B61" i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F60" i="1"/>
  <c r="C60" i="1"/>
  <c r="H45" i="1"/>
  <c r="H44" i="1"/>
  <c r="H40" i="1"/>
  <c r="H39" i="1"/>
  <c r="H38" i="1"/>
  <c r="F36" i="1"/>
  <c r="F31" i="1"/>
  <c r="F34" i="1" s="1"/>
  <c r="F23" i="1"/>
  <c r="C58" i="1" l="1"/>
  <c r="H61" i="1"/>
  <c r="H65" i="1"/>
  <c r="C85" i="1"/>
  <c r="H62" i="1"/>
  <c r="H66" i="1"/>
  <c r="H63" i="1"/>
  <c r="H60" i="1"/>
  <c r="F86" i="1"/>
  <c r="H64" i="1"/>
  <c r="N83" i="1"/>
  <c r="F44" i="1"/>
  <c r="F45" i="1"/>
  <c r="F38" i="1"/>
  <c r="F39" i="1"/>
  <c r="F40" i="1"/>
  <c r="C32" i="1"/>
  <c r="C34" i="1" s="1"/>
  <c r="F58" i="1"/>
  <c r="H58" i="1" s="1"/>
  <c r="F87" i="1" l="1"/>
  <c r="N66" i="1"/>
  <c r="C40" i="1"/>
  <c r="C44" i="1"/>
  <c r="C45" i="1"/>
  <c r="C38" i="1"/>
  <c r="C39" i="1"/>
</calcChain>
</file>

<file path=xl/sharedStrings.xml><?xml version="1.0" encoding="utf-8"?>
<sst xmlns="http://schemas.openxmlformats.org/spreadsheetml/2006/main" count="89" uniqueCount="66">
  <si>
    <t>Proposed Referenda November 2018</t>
  </si>
  <si>
    <t>Current Situation</t>
  </si>
  <si>
    <t>Option 3B-Bonds</t>
  </si>
  <si>
    <t>Type of Issue</t>
  </si>
  <si>
    <t>None</t>
  </si>
  <si>
    <t>New Money (Referendum</t>
  </si>
  <si>
    <t>Limiting Rate Tax Increase</t>
  </si>
  <si>
    <t>Capitalized Interest</t>
  </si>
  <si>
    <t>NA</t>
  </si>
  <si>
    <t>Yes</t>
  </si>
  <si>
    <t>Taxable Restructuring 2021</t>
  </si>
  <si>
    <t>and Refunding)</t>
  </si>
  <si>
    <t>Description:</t>
  </si>
  <si>
    <t>Adopted EFMP</t>
  </si>
  <si>
    <t>Tax Rate Increase for</t>
  </si>
  <si>
    <t>STEM in Middle</t>
  </si>
  <si>
    <t>Operational costs</t>
  </si>
  <si>
    <t>Schools/No Libraries</t>
  </si>
  <si>
    <t>Related to new space</t>
  </si>
  <si>
    <t>Funding Available</t>
  </si>
  <si>
    <t>Total Proceeds</t>
  </si>
  <si>
    <t>(1)</t>
  </si>
  <si>
    <t>Total Debt Service of New Bonds</t>
  </si>
  <si>
    <t>Final Maturity of Debt (Levy Year)</t>
  </si>
  <si>
    <t>All-in True Interest Cost</t>
  </si>
  <si>
    <t>Average Tax Rate Current Referendum  Debt 2018-2024</t>
  </si>
  <si>
    <t>Tax Rate Reduction in 2025 when Referendum Bonds Retired</t>
  </si>
  <si>
    <t>Average Tax Rate with New Bonds 2018-2041*</t>
  </si>
  <si>
    <t>Difference</t>
  </si>
  <si>
    <t>Net Tax Rate Increase (in LY 2020-21)</t>
  </si>
  <si>
    <t>Impact on $200,000 Home</t>
  </si>
  <si>
    <t>Impact on $350,000 Home</t>
  </si>
  <si>
    <t>Impact on $500,000 Home</t>
  </si>
  <si>
    <t>Difference from 2B (Renovated v New Lincoln)</t>
  </si>
  <si>
    <t>Difference from 3B v 3A (Renovated v New Field)</t>
  </si>
  <si>
    <t>Difference Between 3A and 3A1 (NO ADK)</t>
  </si>
  <si>
    <t>Impact on $750,000 Home</t>
  </si>
  <si>
    <t>Impact on $1,000,000 Home</t>
  </si>
  <si>
    <t xml:space="preserve">(1) Limiting rate increase is permanent and will increase with inflation over time. </t>
  </si>
  <si>
    <t>Market Value of Home Input</t>
  </si>
  <si>
    <t>Tax Rate</t>
  </si>
  <si>
    <t>Estimated</t>
  </si>
  <si>
    <t>Estimated Annual</t>
  </si>
  <si>
    <t>Current</t>
  </si>
  <si>
    <t>Proposed 48.7M</t>
  </si>
  <si>
    <t>Payments on Current</t>
  </si>
  <si>
    <t>Payments on $48.7M Plus</t>
  </si>
  <si>
    <t>Average Difference</t>
  </si>
  <si>
    <t>Bonds</t>
  </si>
  <si>
    <t>Plus Refunding</t>
  </si>
  <si>
    <t>Referendum Bonds</t>
  </si>
  <si>
    <t>Refunding Bonds</t>
  </si>
  <si>
    <t>Debt Payment</t>
  </si>
  <si>
    <t>Over 7 and 24 Years</t>
  </si>
  <si>
    <t>Estimated Average Annual Payment Over Life of Bonds</t>
  </si>
  <si>
    <t>First 7 Years</t>
  </si>
  <si>
    <t>Next 17 years</t>
  </si>
  <si>
    <t>Annual Impact of Limiting Rate(1)</t>
  </si>
  <si>
    <t xml:space="preserve">(1) Limiting rate increase is permanent and may increase with inflation over time. </t>
  </si>
  <si>
    <t>Hawthorn Community Consolidated School District Number 73</t>
  </si>
  <si>
    <t>Year Taxes Paid</t>
  </si>
  <si>
    <t>Current Average 2019-2025</t>
  </si>
  <si>
    <t>Proposed Average 2019-2042</t>
  </si>
  <si>
    <t>Question #1 - Impact of $48.7M Bonds Plus Refunding</t>
  </si>
  <si>
    <t>Question #2 - Impact of Limiting Rate Referendum</t>
  </si>
  <si>
    <t xml:space="preserve">&lt;---Enter your market home value here.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</si>
</sst>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00_);_(* \(#,##0.0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quotePrefix="1" applyFill="1"/>
    <xf numFmtId="164" fontId="0" fillId="2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2" borderId="0" xfId="0" applyNumberFormat="1" applyFill="1"/>
    <xf numFmtId="10" fontId="0" fillId="2" borderId="0" xfId="0" applyNumberFormat="1" applyFill="1"/>
    <xf numFmtId="165" fontId="0" fillId="2" borderId="0" xfId="0" applyNumberFormat="1" applyFill="1"/>
    <xf numFmtId="165" fontId="0" fillId="2" borderId="0" xfId="1" applyNumberFormat="1" applyFont="1" applyFill="1"/>
    <xf numFmtId="165" fontId="0" fillId="2" borderId="1" xfId="1" applyNumberFormat="1" applyFont="1" applyFill="1" applyBorder="1"/>
    <xf numFmtId="43" fontId="0" fillId="2" borderId="0" xfId="0" applyNumberFormat="1" applyFill="1"/>
    <xf numFmtId="164" fontId="0" fillId="2" borderId="0" xfId="3" applyNumberFormat="1" applyFont="1" applyFill="1"/>
    <xf numFmtId="44" fontId="0" fillId="2" borderId="0" xfId="3" applyFont="1" applyFill="1"/>
    <xf numFmtId="164" fontId="0" fillId="3" borderId="0" xfId="3" applyNumberFormat="1" applyFont="1" applyFill="1"/>
    <xf numFmtId="0" fontId="0" fillId="3" borderId="0" xfId="0" applyFill="1"/>
    <xf numFmtId="44" fontId="0" fillId="3" borderId="0" xfId="3" applyFont="1" applyFill="1"/>
    <xf numFmtId="0" fontId="1" fillId="0" borderId="0" xfId="4" quotePrefix="1" applyFont="1"/>
    <xf numFmtId="9" fontId="0" fillId="2" borderId="0" xfId="2" applyFont="1" applyFill="1"/>
    <xf numFmtId="0" fontId="0" fillId="2" borderId="0" xfId="0" quotePrefix="1" applyFont="1" applyFill="1" applyAlignment="1">
      <alignment horizontal="left"/>
    </xf>
    <xf numFmtId="0" fontId="3" fillId="2" borderId="0" xfId="4" quotePrefix="1" applyFont="1" applyFill="1"/>
    <xf numFmtId="0" fontId="3" fillId="2" borderId="0" xfId="4" quotePrefix="1" applyFont="1" applyFill="1" applyBorder="1"/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166" fontId="3" fillId="2" borderId="0" xfId="1" applyNumberFormat="1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166" fontId="3" fillId="2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6" fontId="0" fillId="2" borderId="0" xfId="1" applyNumberFormat="1" applyFont="1" applyFill="1" applyBorder="1"/>
    <xf numFmtId="166" fontId="0" fillId="2" borderId="0" xfId="0" applyNumberFormat="1" applyFill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0" fillId="2" borderId="1" xfId="1" applyNumberFormat="1" applyFont="1" applyFill="1" applyBorder="1"/>
    <xf numFmtId="0" fontId="0" fillId="2" borderId="1" xfId="0" applyFill="1" applyBorder="1"/>
    <xf numFmtId="166" fontId="0" fillId="2" borderId="1" xfId="0" applyNumberFormat="1" applyFill="1" applyBorder="1"/>
    <xf numFmtId="0" fontId="0" fillId="2" borderId="6" xfId="0" applyFill="1" applyBorder="1"/>
    <xf numFmtId="166" fontId="3" fillId="2" borderId="1" xfId="0" applyNumberFormat="1" applyFont="1" applyFill="1" applyBorder="1"/>
    <xf numFmtId="0" fontId="0" fillId="2" borderId="0" xfId="0" quotePrefix="1" applyFont="1" applyFill="1" applyBorder="1" applyAlignment="1">
      <alignment horizontal="left"/>
    </xf>
    <xf numFmtId="167" fontId="0" fillId="6" borderId="0" xfId="5" applyNumberFormat="1" applyFont="1" applyFill="1"/>
    <xf numFmtId="167" fontId="0" fillId="6" borderId="0" xfId="5" applyNumberFormat="1" applyFont="1" applyFill="1" applyBorder="1"/>
    <xf numFmtId="166" fontId="3" fillId="5" borderId="2" xfId="1" applyNumberFormat="1" applyFont="1" applyFill="1" applyBorder="1" applyProtection="1">
      <protection locked="0"/>
    </xf>
    <xf numFmtId="0" fontId="5" fillId="4" borderId="0" xfId="0" applyFont="1" applyFill="1" applyBorder="1" applyAlignment="1">
      <alignment horizontal="center"/>
    </xf>
  </cellXfs>
  <cellStyles count="6">
    <cellStyle name="Comma" xfId="1" builtinId="3"/>
    <cellStyle name="Currency" xfId="5" builtinId="4"/>
    <cellStyle name="Currency 2" xfId="3" xr:uid="{00000000-0005-0000-0000-000001000000}"/>
    <cellStyle name="Normal" xfId="0" builtinId="0"/>
    <cellStyle name="Normal 9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kspaces.rjf.com/sites/PubFinance/publicfin/Market%20Data%20Documents/MMD%20Rates%20and%20Credit%20Spread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foustan/My%20Documents/Premium%20Coupon%20Pricing%20Matri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bta/Documents%20and%20Settings/BWL2/Local%20Settings/Temporary%20Internet%20Files/OLK3/Tax%20Cap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D - 1 YR AGO"/>
      <sheetName val="Input"/>
      <sheetName val="AAA"/>
      <sheetName val="Ins"/>
      <sheetName val="AA"/>
      <sheetName val="A"/>
      <sheetName val="BAA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MMD Rates"/>
      <sheetName val="Taxable Generic Scale"/>
      <sheetName val="Rates &amp; Prices"/>
      <sheetName val="Rates &amp; Prices (no Giddis)"/>
      <sheetName val="Today"/>
      <sheetName val="1 yr Spreads"/>
      <sheetName val="3 yr Spreads"/>
      <sheetName val="10 yr Spreads (2)"/>
      <sheetName val="5 yr Spreads"/>
      <sheetName val="10 yr Spreads"/>
      <sheetName val="20 yr Spreads"/>
      <sheetName val="30 yr Spreads"/>
      <sheetName val="Rates &amp; Prices -Potrait"/>
      <sheetName val="Spread Charts"/>
      <sheetName val="Sheet1"/>
      <sheetName val="Bond Insurers"/>
      <sheetName val="Swap Counterparties"/>
    </sheetNames>
    <sheetDataSet>
      <sheetData sheetId="0"/>
      <sheetData sheetId="1"/>
      <sheetData sheetId="2">
        <row r="2">
          <cell r="D2">
            <v>1.58</v>
          </cell>
        </row>
      </sheetData>
      <sheetData sheetId="3">
        <row r="2">
          <cell r="D2">
            <v>1.77</v>
          </cell>
        </row>
      </sheetData>
      <sheetData sheetId="4">
        <row r="2">
          <cell r="D2">
            <v>1.64</v>
          </cell>
        </row>
      </sheetData>
      <sheetData sheetId="5">
        <row r="2">
          <cell r="D2">
            <v>2.04</v>
          </cell>
        </row>
      </sheetData>
      <sheetData sheetId="6">
        <row r="2">
          <cell r="D2">
            <v>2.7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6">
          <cell r="F6">
            <v>42705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REV"/>
      <sheetName val="Bond Rate"/>
    </sheetNames>
    <sheetDataSet>
      <sheetData sheetId="0" refreshError="1">
        <row r="1">
          <cell r="A1" t="str">
            <v>Community Unit School District Number 201-U (Crete-Monee)</v>
          </cell>
        </row>
        <row r="2">
          <cell r="A2" t="str">
            <v>PROJECTION OF TAX EXTENSIONS WITH THE TAX LIMITATION ACT</v>
          </cell>
        </row>
        <row r="3">
          <cell r="A3" t="str">
            <v>Referendum April 17, 2007 $.50 Increase in Limiting Rate and $22M General Obligation Bonds</v>
          </cell>
        </row>
        <row r="5">
          <cell r="B5" t="str">
            <v>ASSUMPTIONS:</v>
          </cell>
          <cell r="E5" t="str">
            <v>Equalized Assessed Valuation</v>
          </cell>
        </row>
        <row r="6">
          <cell r="E6" t="str">
            <v xml:space="preserve">The CPI for tax year 2006 is 3.4% and 3.0% thereafter </v>
          </cell>
        </row>
        <row r="7">
          <cell r="E7" t="str">
            <v>New Construction is actual through tax year 2005</v>
          </cell>
          <cell r="L7" t="str">
            <v>Tax Rate Increase</v>
          </cell>
          <cell r="M7" t="str">
            <v>Impact on $200k</v>
          </cell>
        </row>
        <row r="8">
          <cell r="E8" t="str">
            <v>New Construction as a percent of  total growth 2.86%</v>
          </cell>
          <cell r="H8" t="str">
            <v>Levy Year</v>
          </cell>
          <cell r="I8" t="str">
            <v>Rate Increase</v>
          </cell>
          <cell r="J8" t="str">
            <v>Dollars</v>
          </cell>
          <cell r="K8" t="str">
            <v>Total Tax Rate</v>
          </cell>
          <cell r="L8" t="str">
            <v>Over 2006 Tax Rate</v>
          </cell>
          <cell r="M8" t="str">
            <v>Home</v>
          </cell>
        </row>
        <row r="9">
          <cell r="E9" t="str">
            <v>Tax Rate Increase April 17, 2007 over 2005 Tax Rate</v>
          </cell>
          <cell r="H9">
            <v>2007</v>
          </cell>
          <cell r="I9">
            <v>0.5</v>
          </cell>
          <cell r="J9">
            <v>3721501.4649999999</v>
          </cell>
          <cell r="K9">
            <v>4.7181223219543202</v>
          </cell>
          <cell r="L9">
            <v>-0.27380254845616037</v>
          </cell>
          <cell r="M9">
            <v>-168.8449048812989</v>
          </cell>
        </row>
        <row r="10">
          <cell r="H10">
            <v>2008</v>
          </cell>
          <cell r="I10">
            <v>0.5</v>
          </cell>
          <cell r="J10">
            <v>3878771.6150000002</v>
          </cell>
          <cell r="K10">
            <v>4.8048776355801053</v>
          </cell>
          <cell r="L10">
            <v>-0.18704723483037533</v>
          </cell>
          <cell r="M10">
            <v>-115.3457948120648</v>
          </cell>
        </row>
        <row r="11">
          <cell r="H11">
            <v>2009</v>
          </cell>
          <cell r="I11">
            <v>0.5</v>
          </cell>
          <cell r="J11">
            <v>3952559.33</v>
          </cell>
          <cell r="K11">
            <v>5.1527698739621703</v>
          </cell>
          <cell r="L11">
            <v>0.16084500355168974</v>
          </cell>
          <cell r="M11">
            <v>99.187752190208684</v>
          </cell>
        </row>
        <row r="12">
          <cell r="H12">
            <v>2010</v>
          </cell>
          <cell r="I12">
            <v>0.5</v>
          </cell>
          <cell r="J12">
            <v>4184584.9249999998</v>
          </cell>
          <cell r="K12">
            <v>5.1522427834270479</v>
          </cell>
          <cell r="L12">
            <v>0.16031791301656728</v>
          </cell>
          <cell r="M12">
            <v>98.862713026883171</v>
          </cell>
        </row>
        <row r="14">
          <cell r="E14" t="str">
            <v>UPDATED:  October 24, 2006</v>
          </cell>
        </row>
        <row r="16">
          <cell r="B16" t="str">
            <v>(A)</v>
          </cell>
          <cell r="D16" t="str">
            <v>(B)</v>
          </cell>
          <cell r="H16" t="str">
            <v>A-B=C</v>
          </cell>
          <cell r="J16" t="str">
            <v>(D)</v>
          </cell>
          <cell r="K16" t="str">
            <v>(E)</v>
          </cell>
          <cell r="L16" t="str">
            <v>(PRIOR YR F</v>
          </cell>
          <cell r="M16" t="str">
            <v>(D*(1+E)*RIF)/</v>
          </cell>
          <cell r="N16" t="str">
            <v>F*A/100=G</v>
          </cell>
          <cell r="P16" t="str">
            <v>(H)</v>
          </cell>
          <cell r="Q16" t="str">
            <v>G+H=I</v>
          </cell>
          <cell r="R16" t="str">
            <v>I/A*100=J</v>
          </cell>
        </row>
        <row r="17">
          <cell r="L17" t="str">
            <v>+RATE INCR)/</v>
          </cell>
          <cell r="M17" t="str">
            <v>(C*100)=F</v>
          </cell>
        </row>
        <row r="18">
          <cell r="L18" t="str">
            <v>PRIOR YR F =</v>
          </cell>
        </row>
        <row r="19">
          <cell r="G19" t="str">
            <v>% OF</v>
          </cell>
          <cell r="K19" t="str">
            <v>LESSER OF</v>
          </cell>
          <cell r="L19" t="str">
            <v>(RIF)</v>
          </cell>
          <cell r="O19" t="str">
            <v>INCREASE</v>
          </cell>
        </row>
        <row r="20">
          <cell r="E20" t="str">
            <v>% OF INCREASE</v>
          </cell>
          <cell r="F20" t="str">
            <v>GROWTH IN</v>
          </cell>
          <cell r="G20" t="str">
            <v xml:space="preserve"> INCREASE</v>
          </cell>
          <cell r="I20" t="str">
            <v>INCREASE IN</v>
          </cell>
          <cell r="J20" t="str">
            <v>PRIOR YEAR</v>
          </cell>
          <cell r="K20" t="str">
            <v>RATE OF</v>
          </cell>
          <cell r="L20" t="str">
            <v>RATE</v>
          </cell>
          <cell r="M20" t="str">
            <v>LIMITING</v>
          </cell>
          <cell r="O20" t="str">
            <v>FROM TAXES</v>
          </cell>
          <cell r="P20" t="str">
            <v>EXISTING</v>
          </cell>
          <cell r="Q20" t="str">
            <v>TOTAL</v>
          </cell>
          <cell r="R20" t="str">
            <v>TAX</v>
          </cell>
        </row>
        <row r="21">
          <cell r="A21" t="str">
            <v>TAX</v>
          </cell>
          <cell r="C21" t="str">
            <v>%</v>
          </cell>
          <cell r="D21" t="str">
            <v>NEW</v>
          </cell>
          <cell r="E21" t="str">
            <v>FROM NEW</v>
          </cell>
          <cell r="F21" t="str">
            <v>EXISTING</v>
          </cell>
          <cell r="G21" t="str">
            <v>EXISTING</v>
          </cell>
          <cell r="H21" t="str">
            <v>EXISTING</v>
          </cell>
          <cell r="I21" t="str">
            <v>EXISTING</v>
          </cell>
          <cell r="J21" t="str">
            <v>TAX EXTENSION</v>
          </cell>
          <cell r="K21" t="str">
            <v>INFLATION</v>
          </cell>
          <cell r="L21" t="str">
            <v>INCREASE</v>
          </cell>
          <cell r="M21" t="str">
            <v>TAX</v>
          </cell>
          <cell r="N21" t="str">
            <v>CAPPED TAX</v>
          </cell>
          <cell r="O21" t="str">
            <v>POSSIBLE</v>
          </cell>
          <cell r="P21" t="str">
            <v>DEBT SERVICE</v>
          </cell>
          <cell r="Q21" t="str">
            <v>MAX EXTENSION</v>
          </cell>
          <cell r="R21" t="str">
            <v>RATE</v>
          </cell>
          <cell r="S21" t="str">
            <v>TAX</v>
          </cell>
        </row>
        <row r="22">
          <cell r="A22" t="str">
            <v>YEAR</v>
          </cell>
          <cell r="B22" t="str">
            <v>TOTAL EAV</v>
          </cell>
          <cell r="C22" t="str">
            <v>INCREASE</v>
          </cell>
          <cell r="D22" t="str">
            <v>CONSTRUCTION</v>
          </cell>
          <cell r="E22" t="str">
            <v>CONSTR</v>
          </cell>
          <cell r="F22" t="str">
            <v>PROPERTY</v>
          </cell>
          <cell r="G22" t="str">
            <v>PROPS</v>
          </cell>
          <cell r="H22" t="str">
            <v>PROPERTIES</v>
          </cell>
          <cell r="I22" t="str">
            <v>PROPERTIES</v>
          </cell>
          <cell r="J22" t="str">
            <v>(EXCLUDING B&amp;I)</v>
          </cell>
          <cell r="K22" t="str">
            <v>OR 5%</v>
          </cell>
          <cell r="L22" t="str">
            <v>FACTOR</v>
          </cell>
          <cell r="M22" t="str">
            <v>RATE</v>
          </cell>
          <cell r="N22" t="str">
            <v>EXTENSION</v>
          </cell>
          <cell r="O22" t="str">
            <v>UNDER CAP</v>
          </cell>
          <cell r="P22" t="str">
            <v>EXTENSION</v>
          </cell>
          <cell r="Q22" t="str">
            <v>UNDER TAX CAP</v>
          </cell>
          <cell r="R22" t="str">
            <v>PRODUCED</v>
          </cell>
          <cell r="S22" t="str">
            <v>YEAR</v>
          </cell>
        </row>
        <row r="24">
          <cell r="A24">
            <v>1993</v>
          </cell>
          <cell r="B24">
            <v>287288543</v>
          </cell>
          <cell r="D24">
            <v>10548086</v>
          </cell>
          <cell r="F24">
            <v>10426232</v>
          </cell>
          <cell r="H24">
            <v>276740457</v>
          </cell>
          <cell r="J24">
            <v>0</v>
          </cell>
          <cell r="K24">
            <v>2.9000000000000001E-2</v>
          </cell>
          <cell r="L24">
            <v>1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S24">
            <v>1993</v>
          </cell>
          <cell r="T24" t="str">
            <v>ACTUAL</v>
          </cell>
        </row>
        <row r="25">
          <cell r="A25">
            <v>1994</v>
          </cell>
          <cell r="B25">
            <v>310766032</v>
          </cell>
          <cell r="C25">
            <v>8.1720937266892682E-2</v>
          </cell>
          <cell r="D25">
            <v>11112372</v>
          </cell>
          <cell r="E25">
            <v>3.8680178067525654E-2</v>
          </cell>
          <cell r="F25">
            <v>12365117</v>
          </cell>
          <cell r="G25">
            <v>4.3040759199367028E-2</v>
          </cell>
          <cell r="H25">
            <v>299653660</v>
          </cell>
          <cell r="I25">
            <v>8.2796723140483933E-2</v>
          </cell>
          <cell r="J25">
            <v>0</v>
          </cell>
          <cell r="K25">
            <v>0.05</v>
          </cell>
          <cell r="L25">
            <v>1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1994</v>
          </cell>
          <cell r="T25" t="str">
            <v>ACTUAL</v>
          </cell>
        </row>
        <row r="26">
          <cell r="A26">
            <v>1995</v>
          </cell>
          <cell r="B26">
            <v>335138320</v>
          </cell>
          <cell r="C26">
            <v>7.8426486457181394E-2</v>
          </cell>
          <cell r="D26">
            <v>11694986</v>
          </cell>
          <cell r="E26">
            <v>3.7632768049759055E-2</v>
          </cell>
          <cell r="F26">
            <v>12677302</v>
          </cell>
          <cell r="G26">
            <v>4.0793718407422339E-2</v>
          </cell>
          <cell r="H26">
            <v>323443334</v>
          </cell>
          <cell r="I26">
            <v>7.9390567096694231E-2</v>
          </cell>
          <cell r="J26">
            <v>0</v>
          </cell>
          <cell r="K26">
            <v>2.7E-2</v>
          </cell>
          <cell r="L26">
            <v>1</v>
          </cell>
          <cell r="M26">
            <v>0</v>
          </cell>
          <cell r="N26">
            <v>0</v>
          </cell>
          <cell r="Q26">
            <v>0</v>
          </cell>
          <cell r="R26">
            <v>0</v>
          </cell>
          <cell r="S26">
            <v>1995</v>
          </cell>
          <cell r="T26" t="str">
            <v>ACTUAL</v>
          </cell>
        </row>
        <row r="27">
          <cell r="A27">
            <v>1996</v>
          </cell>
          <cell r="B27">
            <v>357010459</v>
          </cell>
          <cell r="C27">
            <v>6.526302035529688E-2</v>
          </cell>
          <cell r="D27">
            <v>12388262</v>
          </cell>
          <cell r="E27">
            <v>3.6964624039411545E-2</v>
          </cell>
          <cell r="F27">
            <v>9483877</v>
          </cell>
          <cell r="G27">
            <v>2.8298396315885335E-2</v>
          </cell>
          <cell r="H27">
            <v>344622197</v>
          </cell>
          <cell r="I27">
            <v>6.5479361525502947E-2</v>
          </cell>
          <cell r="J27">
            <v>0</v>
          </cell>
          <cell r="K27">
            <v>2.5000000000000001E-2</v>
          </cell>
          <cell r="L27">
            <v>1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1996</v>
          </cell>
          <cell r="T27" t="str">
            <v>ACTUAL</v>
          </cell>
        </row>
        <row r="28">
          <cell r="A28">
            <v>1997</v>
          </cell>
          <cell r="B28">
            <v>382022876</v>
          </cell>
          <cell r="C28">
            <v>7.0060740153273779E-2</v>
          </cell>
          <cell r="D28">
            <v>13165272</v>
          </cell>
          <cell r="E28">
            <v>3.687643223920227E-2</v>
          </cell>
          <cell r="F28">
            <v>11847145</v>
          </cell>
          <cell r="G28">
            <v>3.3184307914071502E-2</v>
          </cell>
          <cell r="H28">
            <v>368857604</v>
          </cell>
          <cell r="I28">
            <v>7.0324567630795989E-2</v>
          </cell>
          <cell r="J28">
            <v>0</v>
          </cell>
          <cell r="K28">
            <v>3.3000000000000002E-2</v>
          </cell>
          <cell r="L28">
            <v>1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1997</v>
          </cell>
          <cell r="T28" t="str">
            <v>ACTUAL</v>
          </cell>
        </row>
        <row r="29">
          <cell r="A29">
            <v>1998</v>
          </cell>
          <cell r="B29">
            <v>400729304</v>
          </cell>
          <cell r="C29">
            <v>4.8966774439968351E-2</v>
          </cell>
          <cell r="D29">
            <v>13756636</v>
          </cell>
          <cell r="E29">
            <v>3.6009979674620322E-2</v>
          </cell>
          <cell r="F29">
            <v>4949792</v>
          </cell>
          <cell r="G29">
            <v>1.295679476534803E-2</v>
          </cell>
          <cell r="H29">
            <v>386972668</v>
          </cell>
          <cell r="I29">
            <v>4.9111266254389052E-2</v>
          </cell>
          <cell r="J29">
            <v>0</v>
          </cell>
          <cell r="K29">
            <v>1.7000000000000001E-2</v>
          </cell>
          <cell r="L29">
            <v>1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1998</v>
          </cell>
          <cell r="T29" t="str">
            <v>ACTUAL</v>
          </cell>
        </row>
        <row r="30">
          <cell r="A30">
            <v>1999</v>
          </cell>
          <cell r="B30">
            <v>425962658</v>
          </cell>
          <cell r="C30">
            <v>6.2968576912458593E-2</v>
          </cell>
          <cell r="D30">
            <v>17807352</v>
          </cell>
          <cell r="E30">
            <v>4.4437359140573361E-2</v>
          </cell>
          <cell r="F30">
            <v>7426002</v>
          </cell>
          <cell r="G30">
            <v>1.8531217771885232E-2</v>
          </cell>
          <cell r="H30">
            <v>408155306</v>
          </cell>
          <cell r="I30">
            <v>5.4739364693322475E-2</v>
          </cell>
          <cell r="J30">
            <v>0</v>
          </cell>
          <cell r="K30">
            <v>1.6E-2</v>
          </cell>
          <cell r="L30">
            <v>1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1999</v>
          </cell>
          <cell r="T30" t="str">
            <v>ACTUAL</v>
          </cell>
        </row>
        <row r="31">
          <cell r="A31">
            <v>2000</v>
          </cell>
          <cell r="B31">
            <v>449703401</v>
          </cell>
          <cell r="C31">
            <v>5.5734329181503041E-2</v>
          </cell>
          <cell r="D31">
            <v>16489608</v>
          </cell>
          <cell r="E31">
            <v>3.871139333532847E-2</v>
          </cell>
          <cell r="F31">
            <v>7251135</v>
          </cell>
          <cell r="G31">
            <v>1.7022935846174571E-2</v>
          </cell>
          <cell r="H31">
            <v>433213793</v>
          </cell>
          <cell r="I31">
            <v>6.1394490360980387E-2</v>
          </cell>
          <cell r="J31">
            <v>0</v>
          </cell>
          <cell r="K31">
            <v>2.7E-2</v>
          </cell>
          <cell r="L31">
            <v>1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S31">
            <v>2000</v>
          </cell>
          <cell r="T31" t="str">
            <v>ACTUAL</v>
          </cell>
        </row>
        <row r="32">
          <cell r="A32">
            <v>2001</v>
          </cell>
          <cell r="B32">
            <v>475229958</v>
          </cell>
          <cell r="C32">
            <v>5.6763095282884021E-2</v>
          </cell>
          <cell r="D32">
            <v>12260012</v>
          </cell>
          <cell r="E32">
            <v>2.7262440027666146E-2</v>
          </cell>
          <cell r="F32">
            <v>13266545</v>
          </cell>
          <cell r="G32">
            <v>2.9500655255217872E-2</v>
          </cell>
          <cell r="H32">
            <v>462969946</v>
          </cell>
          <cell r="I32">
            <v>6.8686993537160998E-2</v>
          </cell>
          <cell r="J32">
            <v>0</v>
          </cell>
          <cell r="K32">
            <v>3.4000000000000002E-2</v>
          </cell>
          <cell r="L32">
            <v>1</v>
          </cell>
          <cell r="N32">
            <v>20782766.469999999</v>
          </cell>
          <cell r="P32">
            <v>4177271.33</v>
          </cell>
          <cell r="Q32">
            <v>24960037.799999997</v>
          </cell>
          <cell r="R32">
            <v>5.2522020928655335</v>
          </cell>
          <cell r="S32">
            <v>2001</v>
          </cell>
          <cell r="T32" t="str">
            <v>ACTUAL</v>
          </cell>
        </row>
        <row r="33">
          <cell r="A33">
            <v>2002</v>
          </cell>
          <cell r="B33">
            <v>502365758</v>
          </cell>
          <cell r="C33">
            <v>5.7100356455221622E-2</v>
          </cell>
          <cell r="D33">
            <v>13826232</v>
          </cell>
          <cell r="E33">
            <v>2.9093771904001052E-2</v>
          </cell>
          <cell r="F33">
            <v>13309568</v>
          </cell>
          <cell r="G33">
            <v>2.800658455122057E-2</v>
          </cell>
          <cell r="H33">
            <v>488539526</v>
          </cell>
          <cell r="I33">
            <v>5.5229459754175925E-2</v>
          </cell>
          <cell r="J33">
            <v>20782766.469999999</v>
          </cell>
          <cell r="K33">
            <v>1.6E-2</v>
          </cell>
          <cell r="L33">
            <v>1</v>
          </cell>
          <cell r="M33">
            <v>4.3221253572674065</v>
          </cell>
          <cell r="N33">
            <v>21958408.23</v>
          </cell>
          <cell r="O33">
            <v>5.6568107123613445E-2</v>
          </cell>
          <cell r="P33">
            <v>4426847.05</v>
          </cell>
          <cell r="Q33">
            <v>26385255.280000001</v>
          </cell>
          <cell r="R33">
            <v>5.2522001867810424</v>
          </cell>
          <cell r="S33">
            <v>2002</v>
          </cell>
          <cell r="T33" t="str">
            <v>ACTUAL</v>
          </cell>
        </row>
        <row r="34">
          <cell r="A34">
            <v>2003</v>
          </cell>
          <cell r="B34">
            <v>526403949</v>
          </cell>
          <cell r="C34">
            <v>4.7849979058485113E-2</v>
          </cell>
          <cell r="D34">
            <v>14380951</v>
          </cell>
          <cell r="E34">
            <v>2.86264554679302E-2</v>
          </cell>
          <cell r="F34">
            <v>9657240</v>
          </cell>
          <cell r="G34">
            <v>1.9223523590554913E-2</v>
          </cell>
          <cell r="H34">
            <v>512022998</v>
          </cell>
          <cell r="I34">
            <v>4.8068724740196356E-2</v>
          </cell>
          <cell r="J34">
            <v>21958408.23</v>
          </cell>
          <cell r="K34">
            <v>2.4E-2</v>
          </cell>
          <cell r="L34">
            <v>1</v>
          </cell>
          <cell r="M34">
            <v>4.3914843894414295</v>
          </cell>
          <cell r="N34">
            <v>23418660.699999999</v>
          </cell>
          <cell r="O34">
            <v>6.6500834427742073E-2</v>
          </cell>
          <cell r="P34">
            <v>4691311.99</v>
          </cell>
          <cell r="Q34">
            <v>28109972.689999998</v>
          </cell>
          <cell r="R34">
            <v>5.3400003444882964</v>
          </cell>
          <cell r="S34">
            <v>2003</v>
          </cell>
          <cell r="T34" t="str">
            <v>ACTUAL</v>
          </cell>
        </row>
        <row r="35">
          <cell r="A35">
            <v>2004</v>
          </cell>
          <cell r="B35">
            <v>550626729</v>
          </cell>
          <cell r="C35">
            <v>4.6015574248665071E-2</v>
          </cell>
          <cell r="D35">
            <v>11912736</v>
          </cell>
          <cell r="E35">
            <v>2.2630407736549864E-2</v>
          </cell>
          <cell r="F35">
            <v>12310044</v>
          </cell>
          <cell r="G35">
            <v>2.3385166512115203E-2</v>
          </cell>
          <cell r="H35">
            <v>538713993</v>
          </cell>
          <cell r="I35">
            <v>5.2128508102677058E-2</v>
          </cell>
          <cell r="J35">
            <v>23418660.699999999</v>
          </cell>
          <cell r="K35">
            <v>1.9E-2</v>
          </cell>
          <cell r="L35">
            <v>1</v>
          </cell>
          <cell r="M35">
            <v>4.4297374048904636</v>
          </cell>
          <cell r="N35">
            <v>24391112.030000001</v>
          </cell>
          <cell r="O35">
            <v>4.1524634668796495E-2</v>
          </cell>
          <cell r="P35">
            <v>4977115</v>
          </cell>
          <cell r="Q35">
            <v>29368227.030000001</v>
          </cell>
          <cell r="R35">
            <v>5.3335999658672586</v>
          </cell>
          <cell r="S35">
            <v>2004</v>
          </cell>
          <cell r="T35" t="str">
            <v>ACTUAL</v>
          </cell>
        </row>
        <row r="36">
          <cell r="A36">
            <v>2005</v>
          </cell>
          <cell r="B36">
            <v>603443316</v>
          </cell>
          <cell r="C36">
            <v>9.5920855669176935E-2</v>
          </cell>
          <cell r="D36">
            <v>19365348</v>
          </cell>
          <cell r="E36">
            <v>3.5169647567181578E-2</v>
          </cell>
          <cell r="F36">
            <v>33451239</v>
          </cell>
          <cell r="G36">
            <v>6.0751208101995351E-2</v>
          </cell>
          <cell r="H36">
            <v>584077968</v>
          </cell>
          <cell r="I36">
            <v>8.4207901761334053E-2</v>
          </cell>
          <cell r="J36">
            <v>24391112.030000001</v>
          </cell>
          <cell r="K36">
            <v>3.3000000000000002E-2</v>
          </cell>
          <cell r="L36">
            <v>1</v>
          </cell>
          <cell r="M36">
            <v>4.3138108450257455</v>
          </cell>
          <cell r="N36">
            <v>26031508.960000001</v>
          </cell>
          <cell r="O36">
            <v>6.7253880347168393E-2</v>
          </cell>
          <cell r="P36">
            <v>5273230</v>
          </cell>
          <cell r="Q36">
            <v>31304738.960000001</v>
          </cell>
          <cell r="R36">
            <v>5.1876850948499031</v>
          </cell>
          <cell r="S36">
            <v>2005</v>
          </cell>
          <cell r="T36" t="str">
            <v>ACTUAL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94"/>
  <sheetViews>
    <sheetView showGridLines="0" tabSelected="1" zoomScale="190" zoomScaleNormal="190" workbookViewId="0">
      <selection activeCell="F51" sqref="F51"/>
    </sheetView>
  </sheetViews>
  <sheetFormatPr baseColWidth="10" defaultColWidth="9.1640625" defaultRowHeight="13" x14ac:dyDescent="0.15"/>
  <cols>
    <col min="1" max="1" width="23" style="3" customWidth="1"/>
    <col min="2" max="2" width="20.83203125" style="2" customWidth="1"/>
    <col min="3" max="3" width="19.33203125" style="2" customWidth="1"/>
    <col min="4" max="4" width="2.83203125" style="2" customWidth="1"/>
    <col min="5" max="5" width="2.1640625" style="2" customWidth="1"/>
    <col min="6" max="6" width="21.33203125" style="2" customWidth="1"/>
    <col min="7" max="7" width="3.6640625" style="2" customWidth="1"/>
    <col min="8" max="8" width="16" style="2" customWidth="1"/>
    <col min="9" max="9" width="4.83203125" style="2" customWidth="1"/>
    <col min="10" max="10" width="18.5" style="2" hidden="1" customWidth="1"/>
    <col min="11" max="11" width="4.5" style="2" hidden="1" customWidth="1"/>
    <col min="12" max="12" width="17.5" style="2" hidden="1" customWidth="1"/>
    <col min="13" max="13" width="0" style="2" hidden="1" customWidth="1"/>
    <col min="14" max="14" width="10.6640625" style="2" customWidth="1"/>
    <col min="15" max="15" width="12.33203125" style="2" customWidth="1"/>
    <col min="16" max="16384" width="9.1640625" style="2"/>
  </cols>
  <sheetData>
    <row r="1" spans="1:8" ht="14" x14ac:dyDescent="0.15">
      <c r="A1" s="1" t="s">
        <v>59</v>
      </c>
    </row>
    <row r="2" spans="1:8" ht="14" x14ac:dyDescent="0.15">
      <c r="A2" s="1" t="s">
        <v>0</v>
      </c>
    </row>
    <row r="4" spans="1:8" hidden="1" x14ac:dyDescent="0.15">
      <c r="C4" s="4" t="s">
        <v>1</v>
      </c>
      <c r="D4" s="4"/>
      <c r="E4" s="4"/>
      <c r="F4" s="4" t="s">
        <v>2</v>
      </c>
      <c r="H4" s="4" t="s">
        <v>2</v>
      </c>
    </row>
    <row r="5" spans="1:8" hidden="1" x14ac:dyDescent="0.15">
      <c r="F5" s="5"/>
    </row>
    <row r="6" spans="1:8" ht="28" hidden="1" x14ac:dyDescent="0.15">
      <c r="B6" s="6" t="s">
        <v>3</v>
      </c>
      <c r="C6" s="7" t="s">
        <v>4</v>
      </c>
      <c r="D6" s="7"/>
      <c r="E6" s="8"/>
      <c r="F6" s="9" t="s">
        <v>5</v>
      </c>
      <c r="G6" s="10"/>
      <c r="H6" s="11" t="s">
        <v>6</v>
      </c>
    </row>
    <row r="7" spans="1:8" hidden="1" x14ac:dyDescent="0.15">
      <c r="B7" s="6"/>
      <c r="E7" s="10"/>
      <c r="F7" s="12"/>
      <c r="G7" s="10"/>
    </row>
    <row r="8" spans="1:8" hidden="1" x14ac:dyDescent="0.15">
      <c r="B8" s="6" t="s">
        <v>7</v>
      </c>
      <c r="C8" s="13" t="s">
        <v>8</v>
      </c>
      <c r="D8" s="13"/>
      <c r="E8" s="8"/>
      <c r="F8" s="7" t="s">
        <v>9</v>
      </c>
      <c r="G8" s="10"/>
    </row>
    <row r="9" spans="1:8" hidden="1" x14ac:dyDescent="0.15">
      <c r="B9" s="6"/>
      <c r="C9" s="14"/>
      <c r="D9" s="14"/>
      <c r="E9" s="8"/>
      <c r="F9" s="7"/>
      <c r="G9" s="10"/>
    </row>
    <row r="10" spans="1:8" hidden="1" x14ac:dyDescent="0.15">
      <c r="B10" s="6" t="s">
        <v>10</v>
      </c>
      <c r="C10" s="13" t="s">
        <v>8</v>
      </c>
      <c r="D10" s="13"/>
      <c r="E10" s="8"/>
      <c r="F10" s="7" t="s">
        <v>9</v>
      </c>
      <c r="G10" s="10"/>
    </row>
    <row r="11" spans="1:8" hidden="1" x14ac:dyDescent="0.15">
      <c r="B11" s="6"/>
      <c r="C11" s="13"/>
      <c r="D11" s="13"/>
      <c r="E11" s="8"/>
      <c r="F11" s="15" t="s">
        <v>11</v>
      </c>
      <c r="G11" s="10"/>
    </row>
    <row r="12" spans="1:8" hidden="1" x14ac:dyDescent="0.15">
      <c r="B12" s="6"/>
      <c r="C12" s="13"/>
      <c r="D12" s="13"/>
      <c r="E12" s="8"/>
      <c r="F12" s="15"/>
      <c r="G12" s="10"/>
    </row>
    <row r="13" spans="1:8" hidden="1" x14ac:dyDescent="0.15">
      <c r="B13" s="6" t="s">
        <v>12</v>
      </c>
      <c r="D13" s="13"/>
      <c r="E13" s="8"/>
      <c r="F13" s="15" t="s">
        <v>13</v>
      </c>
      <c r="G13" s="10"/>
      <c r="H13" s="8" t="s">
        <v>14</v>
      </c>
    </row>
    <row r="14" spans="1:8" hidden="1" x14ac:dyDescent="0.15">
      <c r="B14" s="6"/>
      <c r="D14" s="13"/>
      <c r="E14" s="8"/>
      <c r="F14" s="15" t="s">
        <v>15</v>
      </c>
      <c r="G14" s="10"/>
      <c r="H14" s="8" t="s">
        <v>16</v>
      </c>
    </row>
    <row r="15" spans="1:8" hidden="1" x14ac:dyDescent="0.15">
      <c r="B15" s="6"/>
      <c r="D15" s="13"/>
      <c r="E15" s="8"/>
      <c r="F15" s="15" t="s">
        <v>17</v>
      </c>
      <c r="G15" s="10"/>
      <c r="H15" s="8" t="s">
        <v>18</v>
      </c>
    </row>
    <row r="16" spans="1:8" hidden="1" x14ac:dyDescent="0.15">
      <c r="B16" s="6" t="s">
        <v>19</v>
      </c>
      <c r="C16" s="14"/>
      <c r="D16" s="14"/>
      <c r="E16" s="8"/>
      <c r="F16" s="7"/>
      <c r="G16" s="10"/>
    </row>
    <row r="17" spans="2:9" hidden="1" x14ac:dyDescent="0.15">
      <c r="B17" s="6">
        <v>2019</v>
      </c>
      <c r="C17" s="16">
        <v>0</v>
      </c>
      <c r="D17" s="16"/>
      <c r="E17" s="17"/>
      <c r="F17" s="16">
        <v>13500000</v>
      </c>
      <c r="G17" s="10"/>
    </row>
    <row r="18" spans="2:9" hidden="1" x14ac:dyDescent="0.15">
      <c r="B18" s="6">
        <v>2020</v>
      </c>
      <c r="C18" s="16"/>
      <c r="D18" s="16"/>
      <c r="E18" s="17"/>
      <c r="F18" s="16">
        <v>9900000</v>
      </c>
      <c r="G18" s="10"/>
    </row>
    <row r="19" spans="2:9" hidden="1" x14ac:dyDescent="0.15">
      <c r="B19" s="6">
        <v>2021</v>
      </c>
      <c r="C19" s="13">
        <v>0</v>
      </c>
      <c r="D19" s="13"/>
      <c r="E19" s="14"/>
      <c r="F19" s="16">
        <v>9800000</v>
      </c>
      <c r="G19" s="10"/>
    </row>
    <row r="20" spans="2:9" hidden="1" x14ac:dyDescent="0.15">
      <c r="B20" s="6">
        <v>2022</v>
      </c>
      <c r="C20" s="13"/>
      <c r="D20" s="13"/>
      <c r="E20" s="14"/>
      <c r="F20" s="16">
        <v>8000000</v>
      </c>
      <c r="G20" s="10"/>
    </row>
    <row r="21" spans="2:9" hidden="1" x14ac:dyDescent="0.15">
      <c r="B21" s="6">
        <v>2023</v>
      </c>
      <c r="C21" s="18">
        <v>0</v>
      </c>
      <c r="D21" s="18"/>
      <c r="E21" s="18"/>
      <c r="F21" s="19">
        <v>7500000</v>
      </c>
      <c r="G21" s="10"/>
    </row>
    <row r="22" spans="2:9" hidden="1" x14ac:dyDescent="0.15">
      <c r="B22" s="6"/>
      <c r="C22" s="14"/>
      <c r="D22" s="14"/>
      <c r="E22" s="6"/>
      <c r="F22" s="6"/>
    </row>
    <row r="23" spans="2:9" hidden="1" x14ac:dyDescent="0.15">
      <c r="B23" s="6" t="s">
        <v>20</v>
      </c>
      <c r="C23" s="16">
        <v>0</v>
      </c>
      <c r="D23" s="16"/>
      <c r="E23" s="20"/>
      <c r="F23" s="20">
        <f>SUM(F17:F21)</f>
        <v>48700000</v>
      </c>
      <c r="H23" s="20">
        <v>1324461.8500000001</v>
      </c>
      <c r="I23" s="21" t="s">
        <v>21</v>
      </c>
    </row>
    <row r="24" spans="2:9" hidden="1" x14ac:dyDescent="0.15">
      <c r="B24" s="6"/>
      <c r="C24" s="14"/>
      <c r="D24" s="14"/>
      <c r="E24" s="22"/>
      <c r="F24" s="23"/>
    </row>
    <row r="25" spans="2:9" hidden="1" x14ac:dyDescent="0.15">
      <c r="B25" s="6" t="s">
        <v>22</v>
      </c>
      <c r="C25" s="13" t="s">
        <v>8</v>
      </c>
      <c r="D25" s="13"/>
      <c r="E25" s="17"/>
      <c r="F25" s="16">
        <v>256340608.96000001</v>
      </c>
    </row>
    <row r="26" spans="2:9" hidden="1" x14ac:dyDescent="0.15">
      <c r="B26" s="6"/>
      <c r="C26" s="13"/>
      <c r="D26" s="13"/>
      <c r="E26" s="17"/>
      <c r="F26" s="16"/>
    </row>
    <row r="27" spans="2:9" hidden="1" x14ac:dyDescent="0.15">
      <c r="B27" s="6" t="s">
        <v>23</v>
      </c>
      <c r="C27" s="13" t="s">
        <v>8</v>
      </c>
      <c r="F27" s="2">
        <v>2041</v>
      </c>
    </row>
    <row r="28" spans="2:9" hidden="1" x14ac:dyDescent="0.15">
      <c r="B28" s="6"/>
      <c r="F28" s="24"/>
    </row>
    <row r="29" spans="2:9" hidden="1" x14ac:dyDescent="0.15">
      <c r="B29" s="6" t="s">
        <v>24</v>
      </c>
      <c r="C29" s="13" t="s">
        <v>8</v>
      </c>
      <c r="D29" s="13"/>
      <c r="F29" s="25">
        <v>4.5915947499E-2</v>
      </c>
    </row>
    <row r="30" spans="2:9" hidden="1" x14ac:dyDescent="0.15">
      <c r="B30" s="6"/>
    </row>
    <row r="31" spans="2:9" hidden="1" x14ac:dyDescent="0.15">
      <c r="B31" s="6" t="s">
        <v>25</v>
      </c>
      <c r="C31" s="26">
        <v>0.63874190107144924</v>
      </c>
      <c r="D31" s="26"/>
      <c r="E31" s="27"/>
      <c r="F31" s="27">
        <f>+C31</f>
        <v>0.63874190107144924</v>
      </c>
      <c r="H31" s="27"/>
    </row>
    <row r="32" spans="2:9" hidden="1" x14ac:dyDescent="0.15">
      <c r="B32" s="6" t="s">
        <v>26</v>
      </c>
      <c r="C32" s="26">
        <f>-C31</f>
        <v>-0.63874190107144924</v>
      </c>
      <c r="D32" s="26"/>
      <c r="E32" s="27"/>
      <c r="F32" s="27"/>
      <c r="H32" s="27"/>
    </row>
    <row r="33" spans="1:9" hidden="1" x14ac:dyDescent="0.15">
      <c r="B33" s="6" t="s">
        <v>27</v>
      </c>
      <c r="C33" s="28">
        <v>0</v>
      </c>
      <c r="D33" s="28"/>
      <c r="E33" s="28"/>
      <c r="F33" s="28">
        <v>0.47699555480366612</v>
      </c>
      <c r="H33" s="28"/>
    </row>
    <row r="34" spans="1:9" hidden="1" x14ac:dyDescent="0.15">
      <c r="B34" s="6" t="s">
        <v>28</v>
      </c>
      <c r="C34" s="27">
        <f>+C32</f>
        <v>-0.63874190107144924</v>
      </c>
      <c r="D34" s="27"/>
      <c r="E34" s="27"/>
      <c r="F34" s="27">
        <f>F33-F31</f>
        <v>-0.16174634626778311</v>
      </c>
      <c r="H34" s="27">
        <v>0.1</v>
      </c>
      <c r="I34" s="29"/>
    </row>
    <row r="35" spans="1:9" hidden="1" x14ac:dyDescent="0.15">
      <c r="B35" s="6"/>
      <c r="E35" s="26"/>
      <c r="F35" s="26"/>
    </row>
    <row r="36" spans="1:9" hidden="1" x14ac:dyDescent="0.15">
      <c r="B36" s="6" t="s">
        <v>29</v>
      </c>
      <c r="E36" s="27"/>
      <c r="F36" s="27" t="e">
        <f>#REF!</f>
        <v>#REF!</v>
      </c>
    </row>
    <row r="37" spans="1:9" hidden="1" x14ac:dyDescent="0.15">
      <c r="B37" s="6"/>
    </row>
    <row r="38" spans="1:9" hidden="1" x14ac:dyDescent="0.15">
      <c r="B38" s="6" t="s">
        <v>30</v>
      </c>
      <c r="C38" s="30">
        <f>$C$34/100*(200000/3-6000)</f>
        <v>-387.50341998334591</v>
      </c>
      <c r="D38" s="30"/>
      <c r="E38" s="31"/>
      <c r="F38" s="30">
        <f>F34/100*(200000/3-6000)</f>
        <v>-98.126116735788429</v>
      </c>
      <c r="H38" s="30">
        <f>H34/100*(200000/3-6000)</f>
        <v>60.666666666666671</v>
      </c>
    </row>
    <row r="39" spans="1:9" hidden="1" x14ac:dyDescent="0.15">
      <c r="B39" s="6" t="s">
        <v>31</v>
      </c>
      <c r="C39" s="30">
        <f>$C$34/100*(350000/3-6000)</f>
        <v>-706.87437051907057</v>
      </c>
      <c r="D39" s="30"/>
      <c r="E39" s="31"/>
      <c r="F39" s="30">
        <f>F34/100*(350000/3-6000)</f>
        <v>-178.99928986967998</v>
      </c>
      <c r="H39" s="30">
        <f>H34/100*(350000/3-6000)</f>
        <v>110.66666666666667</v>
      </c>
    </row>
    <row r="40" spans="1:9" hidden="1" x14ac:dyDescent="0.15">
      <c r="B40" s="6" t="s">
        <v>32</v>
      </c>
      <c r="C40" s="30">
        <f>$C$34/100*(500000/3-6000)</f>
        <v>-1026.2453210547951</v>
      </c>
      <c r="E40" s="31"/>
      <c r="F40" s="30">
        <f>F34/100*(500000/3-6000)</f>
        <v>-259.87246300357151</v>
      </c>
      <c r="H40" s="30">
        <f>H34/100*(500000/3-6000)</f>
        <v>160.66666666666666</v>
      </c>
    </row>
    <row r="41" spans="1:9" s="33" customFormat="1" hidden="1" x14ac:dyDescent="0.15">
      <c r="A41" s="3"/>
      <c r="B41" s="6" t="s">
        <v>33</v>
      </c>
      <c r="C41" s="32"/>
      <c r="E41" s="34"/>
      <c r="F41" s="32"/>
      <c r="H41" s="32"/>
    </row>
    <row r="42" spans="1:9" s="33" customFormat="1" hidden="1" x14ac:dyDescent="0.15">
      <c r="A42" s="3"/>
      <c r="B42" s="6" t="s">
        <v>34</v>
      </c>
      <c r="C42" s="32"/>
      <c r="E42" s="34"/>
      <c r="F42" s="32"/>
      <c r="H42" s="32"/>
    </row>
    <row r="43" spans="1:9" s="33" customFormat="1" hidden="1" x14ac:dyDescent="0.15">
      <c r="A43" s="3"/>
      <c r="B43" s="6" t="s">
        <v>35</v>
      </c>
      <c r="C43" s="32"/>
      <c r="E43" s="34"/>
      <c r="F43" s="32"/>
      <c r="H43" s="32"/>
    </row>
    <row r="44" spans="1:9" hidden="1" x14ac:dyDescent="0.15">
      <c r="B44" s="6" t="s">
        <v>36</v>
      </c>
      <c r="C44" s="30">
        <f>$C$34/100*(750000/3-6000)</f>
        <v>-1558.5302386143362</v>
      </c>
      <c r="F44" s="30">
        <f>F34/100*(750000/3-6000)</f>
        <v>-394.66108489339081</v>
      </c>
      <c r="H44" s="30">
        <f>H34/100*(750000/3-6000)</f>
        <v>244</v>
      </c>
    </row>
    <row r="45" spans="1:9" hidden="1" x14ac:dyDescent="0.15">
      <c r="B45" s="6" t="s">
        <v>37</v>
      </c>
      <c r="C45" s="30">
        <f>$C$34/100*(1000000/3-6000)</f>
        <v>-2090.8151561738773</v>
      </c>
      <c r="F45" s="30">
        <f>F34/100*(1000000/3-6000)</f>
        <v>-529.44970678320999</v>
      </c>
      <c r="H45" s="30">
        <f>H34/100*(1000000/3-6000)</f>
        <v>327.33333333333331</v>
      </c>
    </row>
    <row r="46" spans="1:9" hidden="1" x14ac:dyDescent="0.15">
      <c r="B46" s="35"/>
    </row>
    <row r="47" spans="1:9" hidden="1" x14ac:dyDescent="0.15">
      <c r="E47" s="36"/>
      <c r="F47" s="36"/>
    </row>
    <row r="48" spans="1:9" hidden="1" x14ac:dyDescent="0.15">
      <c r="A48" s="37" t="s">
        <v>38</v>
      </c>
    </row>
    <row r="49" spans="1:22" x14ac:dyDescent="0.15">
      <c r="A49" s="38"/>
    </row>
    <row r="50" spans="1:22" ht="14" thickBot="1" x14ac:dyDescent="0.2">
      <c r="A50" s="38"/>
    </row>
    <row r="51" spans="1:22" ht="14" thickBot="1" x14ac:dyDescent="0.2">
      <c r="A51" s="39"/>
      <c r="C51" s="40" t="s">
        <v>39</v>
      </c>
      <c r="D51" s="41"/>
      <c r="E51" s="41"/>
      <c r="F51" s="64">
        <v>350000</v>
      </c>
      <c r="G51" s="41"/>
      <c r="H51" s="41" t="s">
        <v>65</v>
      </c>
      <c r="I51" s="41"/>
      <c r="J51" s="42"/>
      <c r="K51" s="42"/>
      <c r="L51" s="42"/>
      <c r="M51" s="43"/>
    </row>
    <row r="52" spans="1:22" x14ac:dyDescent="0.15">
      <c r="A52" s="39"/>
      <c r="B52" s="40"/>
      <c r="C52" s="41"/>
      <c r="D52" s="41"/>
      <c r="E52" s="41"/>
      <c r="F52" s="44"/>
      <c r="G52" s="41"/>
      <c r="H52" s="41"/>
      <c r="I52" s="41"/>
      <c r="J52" s="41"/>
      <c r="K52" s="41"/>
      <c r="L52" s="41"/>
      <c r="M52" s="45"/>
    </row>
    <row r="53" spans="1:22" x14ac:dyDescent="0.15">
      <c r="A53" s="39"/>
      <c r="B53" s="46"/>
      <c r="C53" s="65" t="s">
        <v>63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T53" s="2" t="s">
        <v>40</v>
      </c>
      <c r="V53" s="2" t="s">
        <v>40</v>
      </c>
    </row>
    <row r="54" spans="1:22" x14ac:dyDescent="0.15">
      <c r="A54" s="39"/>
      <c r="B54" s="41"/>
      <c r="C54" s="47" t="s">
        <v>41</v>
      </c>
      <c r="D54" s="41"/>
      <c r="E54" s="41"/>
      <c r="F54" s="47" t="s">
        <v>41</v>
      </c>
      <c r="G54" s="41"/>
      <c r="H54" s="47" t="s">
        <v>42</v>
      </c>
      <c r="I54" s="47"/>
      <c r="J54" s="47" t="s">
        <v>42</v>
      </c>
      <c r="K54" s="47" t="s">
        <v>42</v>
      </c>
      <c r="L54" s="47" t="s">
        <v>42</v>
      </c>
      <c r="M54" s="47" t="s">
        <v>42</v>
      </c>
      <c r="N54" s="47" t="s">
        <v>42</v>
      </c>
      <c r="T54" s="2" t="s">
        <v>43</v>
      </c>
      <c r="V54" s="2" t="s">
        <v>44</v>
      </c>
    </row>
    <row r="55" spans="1:22" x14ac:dyDescent="0.15">
      <c r="A55" s="39"/>
      <c r="B55" s="41"/>
      <c r="C55" s="47" t="s">
        <v>45</v>
      </c>
      <c r="D55" s="41"/>
      <c r="E55" s="41"/>
      <c r="F55" s="47" t="s">
        <v>46</v>
      </c>
      <c r="G55" s="41"/>
      <c r="H55" s="47" t="s">
        <v>47</v>
      </c>
      <c r="I55" s="47"/>
      <c r="J55" s="47" t="s">
        <v>47</v>
      </c>
      <c r="K55" s="47" t="s">
        <v>47</v>
      </c>
      <c r="L55" s="47" t="s">
        <v>47</v>
      </c>
      <c r="M55" s="47" t="s">
        <v>47</v>
      </c>
      <c r="N55" s="47" t="s">
        <v>47</v>
      </c>
      <c r="T55" s="2" t="s">
        <v>48</v>
      </c>
      <c r="V55" s="2" t="s">
        <v>49</v>
      </c>
    </row>
    <row r="56" spans="1:22" x14ac:dyDescent="0.15">
      <c r="A56" s="48"/>
      <c r="B56" s="49" t="s">
        <v>60</v>
      </c>
      <c r="C56" s="49" t="s">
        <v>50</v>
      </c>
      <c r="D56" s="41"/>
      <c r="E56" s="41"/>
      <c r="F56" s="49" t="s">
        <v>51</v>
      </c>
      <c r="G56" s="41"/>
      <c r="H56" s="49" t="s">
        <v>52</v>
      </c>
      <c r="I56" s="49"/>
      <c r="J56" s="49" t="s">
        <v>52</v>
      </c>
      <c r="K56" s="49" t="s">
        <v>52</v>
      </c>
      <c r="L56" s="49" t="s">
        <v>52</v>
      </c>
      <c r="M56" s="49" t="s">
        <v>52</v>
      </c>
      <c r="N56" s="49" t="s">
        <v>53</v>
      </c>
    </row>
    <row r="57" spans="1:22" x14ac:dyDescent="0.15">
      <c r="A57" s="48"/>
      <c r="B57" s="49"/>
      <c r="C57" s="49"/>
      <c r="D57" s="41"/>
      <c r="E57" s="41"/>
      <c r="F57" s="49"/>
      <c r="G57" s="41"/>
      <c r="H57" s="47"/>
      <c r="I57" s="41"/>
      <c r="J57" s="47"/>
      <c r="K57" s="41"/>
      <c r="L57" s="41"/>
      <c r="M57" s="45"/>
    </row>
    <row r="58" spans="1:22" hidden="1" x14ac:dyDescent="0.15">
      <c r="A58" s="48"/>
      <c r="B58" s="40" t="s">
        <v>54</v>
      </c>
      <c r="C58" s="50">
        <f>AVERAGE(C60:C66)</f>
        <v>706.87437051907057</v>
      </c>
      <c r="D58" s="48"/>
      <c r="E58" s="48"/>
      <c r="F58" s="50">
        <f>AVERAGE(F60:F83)</f>
        <v>527.8750806493905</v>
      </c>
      <c r="G58" s="41"/>
      <c r="H58" s="50">
        <f>+F58-C58</f>
        <v>-178.99928986968007</v>
      </c>
      <c r="I58" s="41"/>
      <c r="J58" s="50"/>
      <c r="K58" s="41"/>
      <c r="L58" s="50"/>
      <c r="M58" s="45"/>
    </row>
    <row r="59" spans="1:22" x14ac:dyDescent="0.15">
      <c r="A59" s="48"/>
      <c r="B59" s="49"/>
      <c r="C59" s="49"/>
      <c r="D59" s="41"/>
      <c r="E59" s="41"/>
      <c r="F59" s="49"/>
      <c r="G59" s="41"/>
      <c r="H59" s="47"/>
      <c r="I59" s="41"/>
      <c r="J59" s="47"/>
      <c r="K59" s="41"/>
      <c r="L59" s="41"/>
      <c r="M59" s="45"/>
    </row>
    <row r="60" spans="1:22" x14ac:dyDescent="0.15">
      <c r="A60" s="48"/>
      <c r="B60" s="51">
        <v>2019</v>
      </c>
      <c r="C60" s="52">
        <f t="shared" ref="C60:C66" si="0">+($F$51/3-6000)*T60/100</f>
        <v>632.2887500630801</v>
      </c>
      <c r="D60" s="41"/>
      <c r="E60" s="41"/>
      <c r="F60" s="52">
        <f t="shared" ref="F60:F83" si="1">+($F$51/3-6000)*V60/100</f>
        <v>614.40538240520209</v>
      </c>
      <c r="G60" s="41"/>
      <c r="H60" s="53">
        <f>+F60-C60</f>
        <v>-17.883367657878011</v>
      </c>
      <c r="I60" s="41"/>
      <c r="J60" s="53"/>
      <c r="K60" s="41"/>
      <c r="L60" s="53"/>
      <c r="M60" s="45"/>
      <c r="T60" s="2">
        <v>0.57134525608109643</v>
      </c>
      <c r="V60" s="2">
        <v>0.5551855865107248</v>
      </c>
    </row>
    <row r="61" spans="1:22" x14ac:dyDescent="0.15">
      <c r="A61" s="48"/>
      <c r="B61" s="51">
        <f t="shared" ref="B61:B83" si="2">B60+1</f>
        <v>2020</v>
      </c>
      <c r="C61" s="52">
        <f t="shared" si="0"/>
        <v>673.23116474885217</v>
      </c>
      <c r="D61" s="41"/>
      <c r="E61" s="41"/>
      <c r="F61" s="52">
        <f t="shared" si="1"/>
        <v>627.23701758682864</v>
      </c>
      <c r="G61" s="41"/>
      <c r="H61" s="53">
        <f t="shared" ref="H61:H83" si="3">+F61-C61</f>
        <v>-45.994147162023523</v>
      </c>
      <c r="I61" s="41"/>
      <c r="J61" s="53"/>
      <c r="K61" s="41"/>
      <c r="L61" s="53"/>
      <c r="M61" s="45"/>
      <c r="T61" s="2">
        <v>0.60834141392968566</v>
      </c>
      <c r="V61" s="2">
        <v>0.56678043757845953</v>
      </c>
    </row>
    <row r="62" spans="1:22" x14ac:dyDescent="0.15">
      <c r="A62" s="48"/>
      <c r="B62" s="51">
        <f t="shared" si="2"/>
        <v>2021</v>
      </c>
      <c r="C62" s="52">
        <f t="shared" si="0"/>
        <v>709.16022253432573</v>
      </c>
      <c r="D62" s="41"/>
      <c r="E62" s="41"/>
      <c r="F62" s="52">
        <f t="shared" si="1"/>
        <v>631.99023724648703</v>
      </c>
      <c r="G62" s="41"/>
      <c r="H62" s="53">
        <f t="shared" si="3"/>
        <v>-77.169985287838699</v>
      </c>
      <c r="I62" s="41"/>
      <c r="J62" s="53"/>
      <c r="K62" s="41"/>
      <c r="L62" s="53"/>
      <c r="M62" s="45"/>
      <c r="T62" s="2">
        <v>0.64080743000089668</v>
      </c>
      <c r="V62" s="2">
        <v>0.57107551558417502</v>
      </c>
    </row>
    <row r="63" spans="1:22" x14ac:dyDescent="0.15">
      <c r="A63" s="48"/>
      <c r="B63" s="51">
        <f t="shared" si="2"/>
        <v>2022</v>
      </c>
      <c r="C63" s="52">
        <f t="shared" si="0"/>
        <v>746.76039928656553</v>
      </c>
      <c r="D63" s="41"/>
      <c r="E63" s="41"/>
      <c r="F63" s="52">
        <f t="shared" si="1"/>
        <v>622.43951411011051</v>
      </c>
      <c r="G63" s="41"/>
      <c r="H63" s="53">
        <f t="shared" si="3"/>
        <v>-124.32088517645502</v>
      </c>
      <c r="I63" s="41"/>
      <c r="J63" s="53"/>
      <c r="K63" s="41"/>
      <c r="L63" s="53"/>
      <c r="M63" s="45"/>
      <c r="T63" s="2">
        <v>0.67478349333123389</v>
      </c>
      <c r="V63" s="2">
        <v>0.56244534407540103</v>
      </c>
    </row>
    <row r="64" spans="1:22" x14ac:dyDescent="0.15">
      <c r="A64" s="48"/>
      <c r="B64" s="51">
        <f t="shared" si="2"/>
        <v>2023</v>
      </c>
      <c r="C64" s="52">
        <f t="shared" si="0"/>
        <v>786.86725448895459</v>
      </c>
      <c r="D64" s="41"/>
      <c r="E64" s="41"/>
      <c r="F64" s="52">
        <f t="shared" si="1"/>
        <v>615.05668180463135</v>
      </c>
      <c r="G64" s="41"/>
      <c r="H64" s="53">
        <f t="shared" si="3"/>
        <v>-171.81057268432323</v>
      </c>
      <c r="I64" s="41"/>
      <c r="J64" s="53"/>
      <c r="K64" s="41"/>
      <c r="L64" s="53"/>
      <c r="M64" s="45"/>
      <c r="T64" s="2">
        <v>0.71102462755026019</v>
      </c>
      <c r="V64" s="2">
        <v>0.5557741100644259</v>
      </c>
    </row>
    <row r="65" spans="1:22" x14ac:dyDescent="0.15">
      <c r="A65" s="48"/>
      <c r="B65" s="54">
        <f t="shared" si="2"/>
        <v>2024</v>
      </c>
      <c r="C65" s="52">
        <f t="shared" si="0"/>
        <v>828.22744891641821</v>
      </c>
      <c r="D65" s="41"/>
      <c r="E65" s="41"/>
      <c r="F65" s="52">
        <f t="shared" si="1"/>
        <v>575.68168396258307</v>
      </c>
      <c r="G65" s="41"/>
      <c r="H65" s="53">
        <f t="shared" si="3"/>
        <v>-252.54576495383515</v>
      </c>
      <c r="I65" s="41"/>
      <c r="J65" s="53"/>
      <c r="K65" s="41"/>
      <c r="L65" s="53"/>
      <c r="M65" s="45"/>
      <c r="T65" s="2">
        <v>0.74839829721363083</v>
      </c>
      <c r="V65" s="2">
        <v>0.52019429273727391</v>
      </c>
    </row>
    <row r="66" spans="1:22" x14ac:dyDescent="0.15">
      <c r="A66" s="48"/>
      <c r="B66" s="55">
        <f t="shared" si="2"/>
        <v>2025</v>
      </c>
      <c r="C66" s="56">
        <f t="shared" si="0"/>
        <v>571.58535359529753</v>
      </c>
      <c r="D66" s="57"/>
      <c r="E66" s="57"/>
      <c r="F66" s="56">
        <f t="shared" si="1"/>
        <v>575.92132242241735</v>
      </c>
      <c r="G66" s="57"/>
      <c r="H66" s="58">
        <f t="shared" si="3"/>
        <v>4.3359688271198138</v>
      </c>
      <c r="I66" s="57"/>
      <c r="J66" s="58"/>
      <c r="K66" s="57"/>
      <c r="L66" s="58"/>
      <c r="M66" s="59"/>
      <c r="N66" s="60">
        <f>AVERAGE(H60:H66)</f>
        <v>-97.912679156461977</v>
      </c>
      <c r="O66" s="57" t="s">
        <v>55</v>
      </c>
      <c r="T66" s="2">
        <v>0.51649278939334109</v>
      </c>
      <c r="V66" s="2">
        <v>0.52041083351423256</v>
      </c>
    </row>
    <row r="67" spans="1:22" x14ac:dyDescent="0.15">
      <c r="A67" s="48"/>
      <c r="B67" s="54">
        <f t="shared" si="2"/>
        <v>2026</v>
      </c>
      <c r="C67" s="52"/>
      <c r="D67" s="41"/>
      <c r="E67" s="41"/>
      <c r="F67" s="52">
        <f t="shared" si="1"/>
        <v>558.36897502283364</v>
      </c>
      <c r="G67" s="41"/>
      <c r="H67" s="53">
        <f t="shared" si="3"/>
        <v>558.36897502283364</v>
      </c>
      <c r="I67" s="41"/>
      <c r="J67" s="53"/>
      <c r="K67" s="41"/>
      <c r="L67" s="53"/>
      <c r="M67" s="45"/>
      <c r="V67" s="2">
        <v>0.50455027863509061</v>
      </c>
    </row>
    <row r="68" spans="1:22" x14ac:dyDescent="0.15">
      <c r="A68" s="48"/>
      <c r="B68" s="54">
        <f t="shared" si="2"/>
        <v>2027</v>
      </c>
      <c r="C68" s="52"/>
      <c r="D68" s="41"/>
      <c r="E68" s="41"/>
      <c r="F68" s="52">
        <f t="shared" si="1"/>
        <v>558.37833328904753</v>
      </c>
      <c r="G68" s="41"/>
      <c r="H68" s="53">
        <f t="shared" si="3"/>
        <v>558.37833328904753</v>
      </c>
      <c r="I68" s="41"/>
      <c r="J68" s="53"/>
      <c r="K68" s="41"/>
      <c r="L68" s="53"/>
      <c r="M68" s="45"/>
      <c r="V68" s="2">
        <v>0.50455873489974168</v>
      </c>
    </row>
    <row r="69" spans="1:22" x14ac:dyDescent="0.15">
      <c r="A69" s="48"/>
      <c r="B69" s="54">
        <f t="shared" si="2"/>
        <v>2028</v>
      </c>
      <c r="C69" s="52"/>
      <c r="D69" s="41"/>
      <c r="E69" s="41"/>
      <c r="F69" s="52">
        <f t="shared" si="1"/>
        <v>557.72250265054004</v>
      </c>
      <c r="G69" s="41"/>
      <c r="H69" s="53">
        <f t="shared" si="3"/>
        <v>557.72250265054004</v>
      </c>
      <c r="I69" s="41"/>
      <c r="J69" s="53"/>
      <c r="K69" s="41"/>
      <c r="L69" s="53"/>
      <c r="M69" s="45"/>
      <c r="V69" s="2">
        <v>0.50396611685289761</v>
      </c>
    </row>
    <row r="70" spans="1:22" x14ac:dyDescent="0.15">
      <c r="A70" s="48"/>
      <c r="B70" s="54">
        <f t="shared" si="2"/>
        <v>2029</v>
      </c>
      <c r="C70" s="52"/>
      <c r="D70" s="41"/>
      <c r="E70" s="41"/>
      <c r="F70" s="52">
        <f t="shared" si="1"/>
        <v>557.78441760825865</v>
      </c>
      <c r="G70" s="41"/>
      <c r="H70" s="53">
        <f t="shared" si="3"/>
        <v>557.78441760825865</v>
      </c>
      <c r="I70" s="41"/>
      <c r="J70" s="53"/>
      <c r="K70" s="41"/>
      <c r="L70" s="53"/>
      <c r="M70" s="45"/>
      <c r="V70" s="2">
        <v>0.5040220641038482</v>
      </c>
    </row>
    <row r="71" spans="1:22" x14ac:dyDescent="0.15">
      <c r="A71" s="48"/>
      <c r="B71" s="54">
        <f t="shared" si="2"/>
        <v>2030</v>
      </c>
      <c r="C71" s="52"/>
      <c r="D71" s="41"/>
      <c r="E71" s="41"/>
      <c r="F71" s="52">
        <f t="shared" si="1"/>
        <v>558.45453631393195</v>
      </c>
      <c r="G71" s="41"/>
      <c r="H71" s="53">
        <f t="shared" si="3"/>
        <v>558.45453631393195</v>
      </c>
      <c r="I71" s="41"/>
      <c r="J71" s="53"/>
      <c r="K71" s="41"/>
      <c r="L71" s="53"/>
      <c r="M71" s="45"/>
      <c r="V71" s="2">
        <v>0.50462759305475779</v>
      </c>
    </row>
    <row r="72" spans="1:22" x14ac:dyDescent="0.15">
      <c r="A72" s="48"/>
      <c r="B72" s="54">
        <f t="shared" si="2"/>
        <v>2031</v>
      </c>
      <c r="C72" s="52"/>
      <c r="D72" s="41"/>
      <c r="E72" s="41"/>
      <c r="F72" s="52">
        <f t="shared" si="1"/>
        <v>467.69606522885914</v>
      </c>
      <c r="G72" s="41"/>
      <c r="H72" s="53">
        <f t="shared" si="3"/>
        <v>467.69606522885914</v>
      </c>
      <c r="I72" s="41"/>
      <c r="J72" s="53"/>
      <c r="K72" s="41"/>
      <c r="L72" s="53"/>
      <c r="M72" s="45"/>
      <c r="V72" s="2">
        <v>0.42261692641161969</v>
      </c>
    </row>
    <row r="73" spans="1:22" x14ac:dyDescent="0.15">
      <c r="A73" s="48"/>
      <c r="B73" s="54">
        <f t="shared" si="2"/>
        <v>2032</v>
      </c>
      <c r="C73" s="52"/>
      <c r="D73" s="41"/>
      <c r="E73" s="41"/>
      <c r="F73" s="52">
        <f t="shared" si="1"/>
        <v>467.71277641852686</v>
      </c>
      <c r="G73" s="41"/>
      <c r="H73" s="53">
        <f t="shared" si="3"/>
        <v>467.71277641852686</v>
      </c>
      <c r="I73" s="41"/>
      <c r="J73" s="53"/>
      <c r="K73" s="41"/>
      <c r="L73" s="53"/>
      <c r="M73" s="45"/>
      <c r="V73" s="2">
        <v>0.42263202688421098</v>
      </c>
    </row>
    <row r="74" spans="1:22" x14ac:dyDescent="0.15">
      <c r="A74" s="48"/>
      <c r="B74" s="54">
        <f t="shared" si="2"/>
        <v>2033</v>
      </c>
      <c r="C74" s="52"/>
      <c r="D74" s="41"/>
      <c r="E74" s="41"/>
      <c r="F74" s="52">
        <f t="shared" si="1"/>
        <v>468.0971337808831</v>
      </c>
      <c r="G74" s="41"/>
      <c r="H74" s="53">
        <f t="shared" si="3"/>
        <v>468.0971337808831</v>
      </c>
      <c r="I74" s="41"/>
      <c r="J74" s="53"/>
      <c r="K74" s="41"/>
      <c r="L74" s="53"/>
      <c r="M74" s="45"/>
      <c r="V74" s="2">
        <v>0.42297933775380997</v>
      </c>
    </row>
    <row r="75" spans="1:22" x14ac:dyDescent="0.15">
      <c r="A75" s="48"/>
      <c r="B75" s="54">
        <f t="shared" si="2"/>
        <v>2034</v>
      </c>
      <c r="C75" s="52"/>
      <c r="D75" s="41"/>
      <c r="E75" s="41"/>
      <c r="F75" s="52">
        <f t="shared" si="1"/>
        <v>467.98015545320936</v>
      </c>
      <c r="G75" s="41"/>
      <c r="H75" s="53">
        <f t="shared" si="3"/>
        <v>467.98015545320936</v>
      </c>
      <c r="I75" s="41"/>
      <c r="J75" s="53"/>
      <c r="K75" s="41"/>
      <c r="L75" s="53"/>
      <c r="M75" s="45"/>
      <c r="V75" s="2">
        <v>0.42287363444567111</v>
      </c>
    </row>
    <row r="76" spans="1:22" x14ac:dyDescent="0.15">
      <c r="A76" s="48"/>
      <c r="B76" s="54">
        <f t="shared" si="2"/>
        <v>2035</v>
      </c>
      <c r="C76" s="52"/>
      <c r="D76" s="41"/>
      <c r="E76" s="41"/>
      <c r="F76" s="52">
        <f t="shared" si="1"/>
        <v>467.77962117719738</v>
      </c>
      <c r="G76" s="41"/>
      <c r="H76" s="53">
        <f t="shared" si="3"/>
        <v>467.77962117719738</v>
      </c>
      <c r="I76" s="41"/>
      <c r="J76" s="53"/>
      <c r="K76" s="41"/>
      <c r="L76" s="53"/>
      <c r="M76" s="45"/>
      <c r="V76" s="2">
        <v>0.42269242877457597</v>
      </c>
    </row>
    <row r="77" spans="1:22" x14ac:dyDescent="0.15">
      <c r="A77" s="48"/>
      <c r="B77" s="54">
        <f t="shared" si="2"/>
        <v>2036</v>
      </c>
      <c r="C77" s="52"/>
      <c r="D77" s="41"/>
      <c r="E77" s="41"/>
      <c r="F77" s="52">
        <f t="shared" si="1"/>
        <v>467.89659950487112</v>
      </c>
      <c r="G77" s="41"/>
      <c r="H77" s="53">
        <f t="shared" si="3"/>
        <v>467.89659950487112</v>
      </c>
      <c r="I77" s="41"/>
      <c r="J77" s="53"/>
      <c r="K77" s="41"/>
      <c r="L77" s="53"/>
      <c r="M77" s="45"/>
      <c r="V77" s="2">
        <v>0.42279813208271483</v>
      </c>
    </row>
    <row r="78" spans="1:22" x14ac:dyDescent="0.15">
      <c r="A78" s="48"/>
      <c r="B78" s="54">
        <f t="shared" si="2"/>
        <v>2037</v>
      </c>
      <c r="C78" s="52"/>
      <c r="D78" s="41"/>
      <c r="E78" s="41"/>
      <c r="F78" s="52">
        <f t="shared" si="1"/>
        <v>467.8798883152034</v>
      </c>
      <c r="G78" s="41"/>
      <c r="H78" s="53">
        <f t="shared" si="3"/>
        <v>467.8798883152034</v>
      </c>
      <c r="I78" s="41"/>
      <c r="J78" s="53"/>
      <c r="K78" s="41"/>
      <c r="L78" s="53"/>
      <c r="M78" s="45"/>
      <c r="V78" s="2">
        <v>0.42278303161012354</v>
      </c>
    </row>
    <row r="79" spans="1:22" x14ac:dyDescent="0.15">
      <c r="A79" s="48"/>
      <c r="B79" s="54">
        <f t="shared" si="2"/>
        <v>2038</v>
      </c>
      <c r="C79" s="52"/>
      <c r="D79" s="41"/>
      <c r="E79" s="41"/>
      <c r="F79" s="52">
        <f t="shared" si="1"/>
        <v>468.13055616021842</v>
      </c>
      <c r="G79" s="41"/>
      <c r="H79" s="53">
        <f t="shared" si="3"/>
        <v>468.13055616021842</v>
      </c>
      <c r="I79" s="41"/>
      <c r="J79" s="53"/>
      <c r="K79" s="41"/>
      <c r="L79" s="53"/>
      <c r="M79" s="45"/>
      <c r="V79" s="2">
        <v>0.42300953869899249</v>
      </c>
    </row>
    <row r="80" spans="1:22" x14ac:dyDescent="0.15">
      <c r="A80" s="48"/>
      <c r="B80" s="54">
        <f t="shared" si="2"/>
        <v>2039</v>
      </c>
      <c r="C80" s="52"/>
      <c r="D80" s="41"/>
      <c r="E80" s="41"/>
      <c r="F80" s="52">
        <f t="shared" si="1"/>
        <v>467.77962117719738</v>
      </c>
      <c r="G80" s="41"/>
      <c r="H80" s="53">
        <f t="shared" si="3"/>
        <v>467.77962117719738</v>
      </c>
      <c r="I80" s="41"/>
      <c r="J80" s="53"/>
      <c r="K80" s="41"/>
      <c r="L80" s="53"/>
      <c r="M80" s="45"/>
      <c r="V80" s="2">
        <v>0.42269242877457597</v>
      </c>
    </row>
    <row r="81" spans="1:22" x14ac:dyDescent="0.15">
      <c r="A81" s="48"/>
      <c r="B81" s="54">
        <f t="shared" si="2"/>
        <v>2040</v>
      </c>
      <c r="C81" s="52"/>
      <c r="D81" s="41"/>
      <c r="E81" s="41"/>
      <c r="F81" s="52">
        <f t="shared" si="1"/>
        <v>468.08042259121538</v>
      </c>
      <c r="G81" s="41"/>
      <c r="H81" s="53">
        <f t="shared" si="3"/>
        <v>468.08042259121538</v>
      </c>
      <c r="I81" s="41"/>
      <c r="J81" s="53"/>
      <c r="K81" s="41"/>
      <c r="L81" s="53"/>
      <c r="M81" s="45"/>
      <c r="V81" s="2">
        <v>0.42296423728121868</v>
      </c>
    </row>
    <row r="82" spans="1:22" x14ac:dyDescent="0.15">
      <c r="A82" s="48"/>
      <c r="B82" s="54">
        <f t="shared" si="2"/>
        <v>2041</v>
      </c>
      <c r="C82" s="52"/>
      <c r="D82" s="41"/>
      <c r="E82" s="41"/>
      <c r="F82" s="52">
        <f t="shared" si="1"/>
        <v>468.14726734988596</v>
      </c>
      <c r="G82" s="41"/>
      <c r="H82" s="53">
        <f t="shared" si="3"/>
        <v>468.14726734988596</v>
      </c>
      <c r="I82" s="41"/>
      <c r="J82" s="53"/>
      <c r="K82" s="41"/>
      <c r="L82" s="53"/>
      <c r="M82" s="45"/>
      <c r="V82" s="2">
        <v>0.42302463917158367</v>
      </c>
    </row>
    <row r="83" spans="1:22" x14ac:dyDescent="0.15">
      <c r="A83" s="48"/>
      <c r="B83" s="55">
        <f t="shared" si="2"/>
        <v>2042</v>
      </c>
      <c r="C83" s="56"/>
      <c r="D83" s="57"/>
      <c r="E83" s="57"/>
      <c r="F83" s="56">
        <f t="shared" si="1"/>
        <v>468.38122400523321</v>
      </c>
      <c r="G83" s="57"/>
      <c r="H83" s="58">
        <f t="shared" si="3"/>
        <v>468.38122400523321</v>
      </c>
      <c r="I83" s="57"/>
      <c r="J83" s="58"/>
      <c r="K83" s="57"/>
      <c r="L83" s="58"/>
      <c r="M83" s="59"/>
      <c r="N83" s="60">
        <f>AVERAGE(H67:H83)</f>
        <v>494.48647623806539</v>
      </c>
      <c r="O83" s="57" t="s">
        <v>56</v>
      </c>
      <c r="V83" s="2">
        <v>0.42323604578786134</v>
      </c>
    </row>
    <row r="84" spans="1:22" ht="10.5" customHeight="1" x14ac:dyDescent="0.15">
      <c r="A84" s="48"/>
      <c r="B84" s="54"/>
      <c r="C84" s="52"/>
      <c r="D84" s="41"/>
      <c r="E84" s="41"/>
      <c r="F84" s="52"/>
      <c r="G84" s="41"/>
      <c r="H84" s="41"/>
      <c r="I84" s="41"/>
      <c r="J84" s="41"/>
      <c r="K84" s="41"/>
      <c r="L84" s="41"/>
      <c r="M84" s="45"/>
    </row>
    <row r="85" spans="1:22" x14ac:dyDescent="0.15">
      <c r="B85" s="46" t="s">
        <v>61</v>
      </c>
      <c r="C85" s="53">
        <f>AVERAGE(C60:C66)</f>
        <v>706.87437051907057</v>
      </c>
      <c r="D85" s="41"/>
      <c r="E85" s="41"/>
      <c r="G85" s="41"/>
      <c r="H85" s="41"/>
      <c r="I85" s="41"/>
      <c r="J85" s="41"/>
      <c r="K85" s="41"/>
      <c r="L85" s="41"/>
      <c r="M85" s="45"/>
    </row>
    <row r="86" spans="1:22" x14ac:dyDescent="0.15">
      <c r="B86" s="46" t="s">
        <v>62</v>
      </c>
      <c r="C86" s="53"/>
      <c r="D86" s="41"/>
      <c r="E86" s="41"/>
      <c r="F86" s="53">
        <f>AVERAGE(F60:F84)</f>
        <v>527.8750806493905</v>
      </c>
      <c r="G86" s="41"/>
      <c r="I86" s="41"/>
      <c r="J86" s="41"/>
      <c r="K86" s="41"/>
      <c r="L86" s="41"/>
      <c r="M86" s="41"/>
    </row>
    <row r="87" spans="1:22" x14ac:dyDescent="0.15">
      <c r="B87" s="46" t="s">
        <v>28</v>
      </c>
      <c r="C87" s="53"/>
      <c r="D87" s="41"/>
      <c r="E87" s="41"/>
      <c r="F87" s="63">
        <f>+F86-C85</f>
        <v>-178.99928986968007</v>
      </c>
      <c r="G87" s="41"/>
      <c r="H87" s="41"/>
      <c r="I87" s="41"/>
      <c r="J87" s="41"/>
      <c r="K87" s="41"/>
      <c r="L87" s="41"/>
      <c r="M87" s="41"/>
    </row>
    <row r="88" spans="1:22" x14ac:dyDescent="0.15">
      <c r="B88" s="41"/>
      <c r="C88" s="53"/>
      <c r="D88" s="41"/>
      <c r="E88" s="41"/>
      <c r="F88" s="53"/>
      <c r="G88" s="41"/>
      <c r="H88" s="41"/>
      <c r="I88" s="41"/>
      <c r="J88" s="41"/>
      <c r="K88" s="41"/>
      <c r="L88" s="41"/>
      <c r="M88" s="41"/>
    </row>
    <row r="89" spans="1:22" x14ac:dyDescent="0.15">
      <c r="A89" s="48"/>
      <c r="B89" s="40"/>
      <c r="C89" s="65" t="s">
        <v>64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</row>
    <row r="91" spans="1:22" x14ac:dyDescent="0.15">
      <c r="C91" s="14" t="s">
        <v>57</v>
      </c>
      <c r="F91" s="62">
        <f>+(F51/3-6000)*0.001</f>
        <v>110.66666666666667</v>
      </c>
    </row>
    <row r="94" spans="1:22" x14ac:dyDescent="0.15">
      <c r="B94" s="61" t="s">
        <v>58</v>
      </c>
    </row>
  </sheetData>
  <sheetProtection sheet="1" objects="1" scenarios="1" selectLockedCells="1"/>
  <mergeCells count="2">
    <mergeCell ref="C53:O53"/>
    <mergeCell ref="C89:O89"/>
  </mergeCells>
  <printOptions horizontalCentered="1"/>
  <pageMargins left="0.2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Impact </vt:lpstr>
      <vt:lpstr>'Summary Impact '!Print_Area</vt:lpstr>
    </vt:vector>
  </TitlesOfParts>
  <Company>Raymond James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Hennessy</dc:creator>
  <cp:lastModifiedBy>Abe Singh</cp:lastModifiedBy>
  <dcterms:created xsi:type="dcterms:W3CDTF">2018-08-29T14:28:49Z</dcterms:created>
  <dcterms:modified xsi:type="dcterms:W3CDTF">2018-09-17T16:41:08Z</dcterms:modified>
</cp:coreProperties>
</file>